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<sst xmlns="http://schemas.openxmlformats.org/spreadsheetml/2006/main" count="223" uniqueCount="223">
  <si>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</si>
  <si>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</si>
  <si>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</si>
  <si>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</si>
  <si>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</si>
  <si>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</si>
  <si>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</si>
  <si>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</si>
  <si>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</si>
  <si>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</si>
  <si>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</si>
  <si>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</si>
  <si>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</si>
  <si>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</si>
  <si>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</si>
  <si>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</si>
  <si>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</si>
  <si>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</si>
  <si>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</si>
  <si>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</si>
  <si>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</si>
  <si>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</si>
  <si>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</si>
  <si>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</si>
  <si>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</si>
  <si>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</si>
  <si>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</si>
  <si>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</si>
  <si>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</si>
  <si>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</si>
  <si>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</si>
  <si>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</si>
  <si>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</si>
  <si>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</si>
  <si>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</si>
  <si>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</si>
  <si>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</si>
  <si>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</si>
  <si>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</si>
  <si>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</si>
  <si>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</si>
  <si>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</si>
  <si>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</si>
  <si>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</si>
  <si>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</si>
  <si>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</si>
  <si>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</si>
  <si>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</si>
  <si>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</si>
  <si>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</si>
  <si>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</si>
  <si>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</si>
  <si>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</si>
  <si>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</si>
  <si>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</si>
  <si>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</si>
  <si>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</si>
  <si>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</si>
  <si>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</si>
  <si>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</si>
  <si>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</si>
  <si>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</si>
  <si>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</si>
  <si>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</si>
  <si>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</si>
  <si>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</si>
  <si>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</si>
  <si>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</si>
  <si>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</si>
  <si>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</si>
  <si>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</si>
  <si>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</si>
  <si>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</si>
  <si>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</si>
  <si>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</si>
  <si>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</si>
  <si>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</si>
  <si>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</si>
  <si>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</si>
  <si>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</si>
  <si>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</si>
  <si>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</si>
  <si>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</si>
  <si>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</si>
  <si>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</si>
  <si>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</si>
  <si>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</si>
  <si>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</si>
  <si>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</si>
  <si>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</si>
  <si>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</si>
  <si>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</si>
  <si>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</si>
  <si>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</si>
  <si>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</si>
  <si>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</si>
  <si>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</si>
  <si>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</si>
  <si>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</si>
  <si>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</si>
  <si>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</si>
  <si>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</si>
  <si>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</si>
  <si>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</si>
  <si>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</si>
  <si>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</si>
  <si>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</si>
  <si>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</si>
  <si>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</si>
  <si>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</si>
  <si>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</si>
  <si>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</si>
  <si>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</si>
  <si>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</si>
  <si>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</si>
  <si>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</si>
  <si>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</si>
  <si>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</si>
  <si>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</si>
  <si>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</si>
  <si>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</si>
  <si>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</si>
  <si>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</si>
  <si>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</si>
  <si>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</si>
  <si>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</si>
  <si>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</si>
  <si>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</si>
  <si>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</si>
  <si>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</si>
  <si>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</si>
  <si>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</si>
  <si>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</si>
  <si>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</si>
  <si>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</si>
  <si>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</si>
  <si>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</si>
  <si>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</si>
  <si>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</si>
  <si>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</si>
  <si>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</si>
  <si>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</si>
  <si>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</si>
  <si>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</si>
  <si>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</si>
  <si>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</si>
  <si>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</si>
  <si>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</si>
  <si>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</si>
  <si>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</si>
  <si>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</si>
  <si>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</si>
  <si>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</si>
  <si>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</si>
  <si>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</si>
  <si>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</si>
  <si>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</si>
  <si>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</si>
  <si>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</si>
  <si>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</si>
  <si>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</si>
  <si>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</si>
  <si>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</si>
  <si>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</si>
  <si>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</si>
  <si>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</si>
  <si>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</si>
  <si>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</si>
  <si>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</si>
  <si>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</si>
  <si>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</si>
  <si>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</si>
  <si>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</si>
  <si>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</si>
  <si>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</si>
  <si>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</si>
  <si>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</si>
  <si>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</si>
  <si>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</si>
  <si>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</si>
  <si>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</si>
  <si>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</si>
  <si>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</si>
  <si>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</si>
  <si>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</si>
  <si>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</si>
  <si>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</si>
  <si>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</si>
  <si>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</si>
  <si>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</si>
  <si>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</si>
  <si>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</si>
  <si>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</si>
  <si>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</si>
  <si>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</si>
  <si>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</si>
  <si>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</si>
  <si>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</si>
  <si>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</si>
  <si>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</si>
  <si>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</si>
  <si>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</si>
  <si>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</si>
  <si>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</si>
  <si>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</si>
  <si>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</si>
  <si>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</si>
  <si>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7.</t>
  </si>
  <si>
    <t>7.1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</si>
  <si>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</si>
  <si>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</si>
  <si>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</si>
  <si>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</si>
  <si>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</si>
  <si>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</si>
  <si>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</si>
  <si>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</si>
  <si>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</si>
  <si>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</si>
  <si>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Забезпечення діяльності з виробництва, транспортування, постачання теплової енергії</t>
  </si>
  <si>
    <t>утримання та лікування безпритульних тварин , що знаходяться у комунальних притулках (харчування, лікування, прибирання) (фінансова підтримка КП "Черкаська служба чистоти")</t>
  </si>
  <si>
    <t>Фінансова підтримка КПТМ "Черкаситеплокомуненерго" на погашення заборгованості по гарантійним зобов'язанням перед Черкаською міською радою за  Угодою про гарантії та відшкодування від 10.01.2008 ( зі змінами та викладенням у новій редакції від 16.12.2015) до Кредитної Угоди від 10.01.2008 (зі змінами та викладенням у новій редакції від 29.07.2015) між  КПТМ «Черкаситеплокомуненерго»  та ЄБРР</t>
  </si>
  <si>
    <t>Профінансовано станом на 20.12.2018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</si>
</sst>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38" fillId="55" borderId="18" xfId="0" applyFont="1" applyFill="1" applyBorder="1" applyAlignment="1">
      <alignment vertical="top" wrapText="1"/>
    </xf>
    <xf numFmtId="185" fontId="38" fillId="53" borderId="22" xfId="162" applyNumberFormat="1" applyFont="1" applyFill="1" applyBorder="1" applyAlignment="1">
      <alignment horizontal="left" vertical="center" wrapText="1"/>
      <protection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1"/>
  <sheetViews>
    <sheetView tabSelected="1" zoomScale="90" zoomScaleNormal="90" zoomScalePageLayoutView="0" workbookViewId="0" topLeftCell="A1">
      <selection activeCell="AF7" sqref="AF7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23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15</v>
      </c>
      <c r="B4" s="145" t="s">
        <v>16</v>
      </c>
      <c r="C4" s="147" t="s">
        <v>34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64</v>
      </c>
      <c r="AD4" s="136" t="s">
        <v>65</v>
      </c>
      <c r="AE4" s="83" t="s">
        <v>129</v>
      </c>
      <c r="AF4" s="136" t="s">
        <v>222</v>
      </c>
      <c r="AG4" s="134" t="s">
        <v>166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128</v>
      </c>
      <c r="AF5" s="137"/>
      <c r="AG5" s="135"/>
    </row>
    <row r="6" spans="1:33" ht="30">
      <c r="A6" s="31" t="s">
        <v>27</v>
      </c>
      <c r="B6" s="96" t="s">
        <v>82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11843248.39</v>
      </c>
      <c r="AG6" s="81">
        <f>AF6/C6*100</f>
        <v>36.61486577807198</v>
      </c>
    </row>
    <row r="7" spans="1:33" ht="42">
      <c r="A7" s="20" t="s">
        <v>2</v>
      </c>
      <c r="B7" s="102" t="s">
        <v>170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48</v>
      </c>
      <c r="B8" s="102" t="s">
        <v>171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49</v>
      </c>
      <c r="B9" s="102" t="s">
        <v>172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>
        <v>177500</v>
      </c>
      <c r="AG9" s="77">
        <f t="shared" si="2"/>
        <v>61.206896551724135</v>
      </c>
    </row>
    <row r="10" spans="1:33" ht="27.75">
      <c r="A10" s="20" t="s">
        <v>42</v>
      </c>
      <c r="B10" s="102" t="s">
        <v>66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43</v>
      </c>
      <c r="B11" s="102" t="s">
        <v>67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18</v>
      </c>
      <c r="B12" s="102" t="s">
        <v>68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19</v>
      </c>
      <c r="B13" s="102" t="s">
        <v>69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33000+309400-177886</f>
        <v>164514</v>
      </c>
      <c r="AG13" s="77">
        <f t="shared" si="2"/>
        <v>33.92041237113402</v>
      </c>
    </row>
    <row r="14" spans="1:33" ht="27.75">
      <c r="A14" s="20" t="s">
        <v>44</v>
      </c>
      <c r="B14" s="102" t="s">
        <v>70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205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25</v>
      </c>
      <c r="B16" s="102" t="s">
        <v>71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50</v>
      </c>
      <c r="B17" s="102" t="s">
        <v>72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21</v>
      </c>
      <c r="B18" s="102" t="s">
        <v>73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84</v>
      </c>
      <c r="B19" s="102" t="s">
        <v>74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85</v>
      </c>
      <c r="B20" s="102" t="s">
        <v>173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f>11397.39+79491</f>
        <v>90888.39</v>
      </c>
      <c r="AG20" s="77">
        <f t="shared" si="2"/>
        <v>27.27791917021315</v>
      </c>
    </row>
    <row r="21" spans="1:33" ht="27.75">
      <c r="A21" s="20" t="s">
        <v>86</v>
      </c>
      <c r="B21" s="102" t="s">
        <v>218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87</v>
      </c>
      <c r="B22" s="102" t="s">
        <v>174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88</v>
      </c>
      <c r="B23" s="102" t="s">
        <v>175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89</v>
      </c>
      <c r="B24" s="102" t="s">
        <v>176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90</v>
      </c>
      <c r="B25" s="102" t="s">
        <v>177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91</v>
      </c>
      <c r="B26" s="102" t="s">
        <v>204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92</v>
      </c>
      <c r="B27" s="102" t="s">
        <v>165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48851+614686+4003.69+352842.33+13646.62+49043.4</f>
        <v>1083073.04</v>
      </c>
      <c r="AG27" s="77">
        <f t="shared" si="2"/>
        <v>83.31331076923078</v>
      </c>
    </row>
    <row r="28" spans="1:33" ht="27.75">
      <c r="A28" s="20" t="s">
        <v>93</v>
      </c>
      <c r="B28" s="102" t="s">
        <v>167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48851+493855+6362+209846.48</f>
        <v>758914.48</v>
      </c>
      <c r="AG28" s="77">
        <f t="shared" si="2"/>
        <v>72.258053655775</v>
      </c>
    </row>
    <row r="29" spans="1:33" ht="27.75">
      <c r="A29" s="20" t="s">
        <v>94</v>
      </c>
      <c r="B29" s="102" t="s">
        <v>75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95</v>
      </c>
      <c r="B30" s="102" t="s">
        <v>130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96</v>
      </c>
      <c r="B31" s="102" t="s">
        <v>178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7">
        <v>7440.45</v>
      </c>
      <c r="AG31" s="77">
        <f t="shared" si="2"/>
        <v>10.629214285714285</v>
      </c>
    </row>
    <row r="32" spans="1:33" ht="27.75">
      <c r="A32" s="20" t="s">
        <v>97</v>
      </c>
      <c r="B32" s="102" t="s">
        <v>76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7">
        <v>7440.45</v>
      </c>
      <c r="AG32" s="77">
        <f t="shared" si="2"/>
        <v>10.629214285714285</v>
      </c>
    </row>
    <row r="33" spans="1:33" ht="27.75">
      <c r="A33" s="20" t="s">
        <v>98</v>
      </c>
      <c r="B33" s="102" t="s">
        <v>77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99</v>
      </c>
      <c r="B34" s="102" t="s">
        <v>78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12310+214500+159312.95+170377.41+153640.45+8620.45</f>
        <v>718761.26</v>
      </c>
      <c r="AG34" s="77">
        <f t="shared" si="2"/>
        <v>99.68949514563107</v>
      </c>
    </row>
    <row r="35" spans="1:33" ht="27.75">
      <c r="A35" s="20" t="s">
        <v>100</v>
      </c>
      <c r="B35" s="102" t="s">
        <v>179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101</v>
      </c>
      <c r="B36" s="102" t="s">
        <v>206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102</v>
      </c>
      <c r="B37" s="109" t="s">
        <v>180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103</v>
      </c>
      <c r="B38" s="110" t="s">
        <v>181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104</v>
      </c>
      <c r="B39" s="111" t="s">
        <v>182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105</v>
      </c>
      <c r="B40" s="111" t="s">
        <v>183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144</v>
      </c>
      <c r="B41" s="111" t="s">
        <v>184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</f>
        <v>131349.6</v>
      </c>
      <c r="AG41" s="77">
        <f t="shared" si="2"/>
        <v>92.73023784478316</v>
      </c>
    </row>
    <row r="42" spans="1:33" ht="27.75">
      <c r="A42" s="20" t="s">
        <v>145</v>
      </c>
      <c r="B42" s="111" t="s">
        <v>185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</f>
        <v>243421.19999999998</v>
      </c>
      <c r="AG42" s="77">
        <f t="shared" si="2"/>
        <v>79.74146883179422</v>
      </c>
    </row>
    <row r="43" spans="1:33" ht="27.75">
      <c r="A43" s="20" t="s">
        <v>146</v>
      </c>
      <c r="B43" s="111" t="s">
        <v>79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147</v>
      </c>
      <c r="B44" s="111" t="s">
        <v>158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148</v>
      </c>
      <c r="B45" s="111" t="s">
        <v>134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149</v>
      </c>
      <c r="B46" s="112" t="s">
        <v>135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150</v>
      </c>
      <c r="B47" s="111" t="s">
        <v>186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151</v>
      </c>
      <c r="B48" s="111" t="s">
        <v>187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152</v>
      </c>
      <c r="B49" s="111" t="s">
        <v>136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153</v>
      </c>
      <c r="B50" s="111" t="s">
        <v>137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27.75">
      <c r="A51" s="20" t="s">
        <v>154</v>
      </c>
      <c r="B51" s="132" t="s">
        <v>138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27.75">
      <c r="A52" s="20" t="s">
        <v>155</v>
      </c>
      <c r="B52" s="132" t="s">
        <v>188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156</v>
      </c>
      <c r="B53" s="113" t="s">
        <v>139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159</v>
      </c>
      <c r="B54" s="113" t="s">
        <v>190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189</v>
      </c>
      <c r="B55" s="113" t="s">
        <v>140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191</v>
      </c>
      <c r="B56" s="113" t="s">
        <v>141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192</v>
      </c>
      <c r="B57" s="113" t="s">
        <v>194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193</v>
      </c>
      <c r="B58" s="113" t="s">
        <v>142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195</v>
      </c>
      <c r="B59" s="113" t="s">
        <v>143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196</v>
      </c>
      <c r="B60" s="113" t="s">
        <v>198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197</v>
      </c>
      <c r="B61" s="113" t="s">
        <v>200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199</v>
      </c>
      <c r="B62" s="113" t="s">
        <v>160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14000+128787-35541</f>
        <v>107246</v>
      </c>
      <c r="AG62" s="77">
        <f t="shared" si="4"/>
        <v>53.623</v>
      </c>
    </row>
    <row r="63" spans="1:33" ht="27.75">
      <c r="A63" s="20" t="s">
        <v>201</v>
      </c>
      <c r="B63" s="113" t="s">
        <v>161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14000+128787-36580.2</f>
        <v>106206.8</v>
      </c>
      <c r="AG63" s="77">
        <f t="shared" si="4"/>
        <v>53.1034</v>
      </c>
    </row>
    <row r="64" spans="1:33" ht="55.5">
      <c r="A64" s="20" t="s">
        <v>202</v>
      </c>
      <c r="B64" s="52" t="s">
        <v>203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2574176.16+727025.16+400166.47+266287.2+395364.48</f>
        <v>4363019.470000001</v>
      </c>
      <c r="AG64" s="77">
        <f t="shared" si="4"/>
        <v>23.084759100529105</v>
      </c>
    </row>
    <row r="65" spans="1:33" ht="15">
      <c r="A65" s="27" t="s">
        <v>83</v>
      </c>
      <c r="B65" s="53" t="s">
        <v>126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6763495.19</v>
      </c>
      <c r="AG65" s="76">
        <f t="shared" si="2"/>
        <v>94.26474132404182</v>
      </c>
    </row>
    <row r="66" spans="1:33" ht="55.5">
      <c r="A66" s="20" t="s">
        <v>106</v>
      </c>
      <c r="B66" s="51" t="s">
        <v>80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2994538.8+52872+280044+277828.59+929435.6+877224+84962.4+10565+782249.4+44887.2+370136.2+58752</f>
        <v>6763495.19</v>
      </c>
      <c r="AG66" s="77">
        <f t="shared" si="2"/>
        <v>94.26474132404182</v>
      </c>
    </row>
    <row r="67" spans="1:33" ht="30">
      <c r="A67" s="27" t="s">
        <v>26</v>
      </c>
      <c r="B67" s="53" t="s">
        <v>217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52</v>
      </c>
      <c r="B68" s="51" t="s">
        <v>81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7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107</v>
      </c>
      <c r="B69" s="54" t="s">
        <v>22</v>
      </c>
      <c r="C69" s="40">
        <f>AC69+AD69</f>
        <v>48516471.52</v>
      </c>
      <c r="D69" s="40">
        <f aca="true" t="shared" si="5" ref="D69:AB69">D70+D77+D83+D87+D94+D102+D105+D113+D115+D118+D119+D122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AC70+AC77+AC83+AC87+AC94+AC102+AC105+AC113+AC115+AC118+AC119+AC122+AC125</f>
        <v>46316471.52</v>
      </c>
      <c r="AD69" s="34">
        <f>AE69</f>
        <v>2200000</v>
      </c>
      <c r="AE69" s="65">
        <f>AE94+AE105</f>
        <v>2200000</v>
      </c>
      <c r="AF69" s="40">
        <f>AF70+AF77+AF83+AF87+AF94+AF102+AF105+AF113+AF115+AF118+AF119+AF122+AF125</f>
        <v>42816145.1</v>
      </c>
      <c r="AG69" s="76">
        <f t="shared" si="2"/>
        <v>88.2507399210799</v>
      </c>
    </row>
    <row r="70" spans="1:33" ht="27.75">
      <c r="A70" s="9" t="s">
        <v>113</v>
      </c>
      <c r="B70" s="55" t="s">
        <v>17</v>
      </c>
      <c r="C70" s="41">
        <f>SUM(C71:C76)</f>
        <v>17891996.89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17891996.89</v>
      </c>
      <c r="AD70" s="15"/>
      <c r="AE70" s="66"/>
      <c r="AF70" s="89">
        <f>SUM(AF71:AF76)</f>
        <v>16342212.59</v>
      </c>
      <c r="AG70" s="78">
        <f t="shared" si="2"/>
        <v>91.33811441211355</v>
      </c>
    </row>
    <row r="71" spans="1:33" ht="13.5">
      <c r="A71" s="9"/>
      <c r="B71" s="56" t="s">
        <v>63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5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131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455000+314965+130620+343290+97715+339580+98470+273260+131835+305145+214330+338205+124700+417475+51800+290680</f>
        <v>3927070</v>
      </c>
      <c r="AG72" s="79">
        <f t="shared" si="2"/>
        <v>96.9646913580247</v>
      </c>
    </row>
    <row r="73" spans="1:33" ht="13.5">
      <c r="A73" s="9"/>
      <c r="B73" s="56" t="s">
        <v>62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2365770.77+938491.55+624657.88+597865.39+521903.53+454645.44+638736.55+719669.99+997233.12+1119173.24</f>
        <v>8978147.46</v>
      </c>
      <c r="AG73" s="79">
        <f t="shared" si="2"/>
        <v>87.33248823175627</v>
      </c>
    </row>
    <row r="74" spans="1:33" ht="27.75">
      <c r="A74" s="9"/>
      <c r="B74" s="56" t="s">
        <v>41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46671+2500+4491+51671+51162+4491+2500+46671+4491+46671+4491+46671+5000+24687+4491+30677+2500+4491+24868.9+30677+24866.9+4491+2500+30677+29358.9+2500+30677+24867.9+6991+606+30677+4491+24867.9+30677+2956+26293.9+7177</f>
        <v>724548.4000000001</v>
      </c>
      <c r="AG74" s="79">
        <f t="shared" si="2"/>
        <v>99.20925442071281</v>
      </c>
    </row>
    <row r="75" spans="1:33" ht="27.75">
      <c r="A75" s="9"/>
      <c r="B75" s="56" t="s">
        <v>29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124086+55244.7+44251+76234+44251+44251+38355+47346.24+49686+38383.46+11048.23+45153+35304.93+51458.35+44416.85+39352.44+51678.01+53781.3+44170.62+50220.27+43195.53</f>
        <v>1031867.93</v>
      </c>
      <c r="AG75" s="79">
        <f t="shared" si="2"/>
        <v>99.99156261658698</v>
      </c>
    </row>
    <row r="76" spans="1:33" ht="13.5">
      <c r="A76" s="9"/>
      <c r="B76" s="56" t="s">
        <v>35</v>
      </c>
      <c r="C76" s="42">
        <f>1002190+57500</f>
        <v>1059690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1059690</v>
      </c>
      <c r="AD76" s="16"/>
      <c r="AE76" s="66"/>
      <c r="AF76" s="116">
        <f>165541.2+86398.21+87668.42+90307.93+90518.03+90297.32+90918.07+88215.01+90563.36+88315.06</f>
        <v>968742.6100000001</v>
      </c>
      <c r="AG76" s="79">
        <f t="shared" si="2"/>
        <v>91.417547584671</v>
      </c>
    </row>
    <row r="77" spans="1:33" ht="13.5">
      <c r="A77" s="9" t="s">
        <v>114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6800222.03</v>
      </c>
      <c r="AG77" s="78">
        <f t="shared" si="2"/>
        <v>94.4364306022316</v>
      </c>
    </row>
    <row r="78" spans="1:33" ht="13.5">
      <c r="A78" s="9"/>
      <c r="B78" s="56" t="s">
        <v>36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195156+87000+174330+87000+260160+58000+70200+58000+139245.91+87000+121680+58000+430434+252415</f>
        <v>2078620.91</v>
      </c>
      <c r="AG78" s="79">
        <f t="shared" si="2"/>
        <v>86.52751791951009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37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38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6">AF81/C81*100</f>
        <v>99.99939618672705</v>
      </c>
    </row>
    <row r="82" spans="1:33" ht="44.25" customHeight="1">
      <c r="A82" s="9"/>
      <c r="B82" s="56" t="s">
        <v>39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1017646.61+44880+126065.55+74837.4+57228.6+90245.1+212678.65+329120+256886.6+76800+92446.2+255516.22+121483.9+293790+233460+69813.89+348350+149000</f>
        <v>3850248.72</v>
      </c>
      <c r="AG82" s="79">
        <f t="shared" si="9"/>
        <v>98.04306436816998</v>
      </c>
    </row>
    <row r="83" spans="1:33" ht="27.75">
      <c r="A83" s="9" t="s">
        <v>115</v>
      </c>
      <c r="B83" s="55" t="s">
        <v>5</v>
      </c>
      <c r="C83" s="41">
        <f>SUM(C84:C86)</f>
        <v>1588667.0899999999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1588667.0899999999</v>
      </c>
      <c r="AD83" s="15"/>
      <c r="AE83" s="66"/>
      <c r="AF83" s="89">
        <f>SUM(AF84:AF86)</f>
        <v>1528423.35</v>
      </c>
      <c r="AG83" s="78">
        <f t="shared" si="9"/>
        <v>96.20790659168247</v>
      </c>
    </row>
    <row r="84" spans="1:33" ht="13.5">
      <c r="A84" s="9"/>
      <c r="B84" s="56" t="s">
        <v>54</v>
      </c>
      <c r="C84" s="42">
        <f>1271166-57500</f>
        <v>1213666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1213666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96.77074170323633</v>
      </c>
    </row>
    <row r="85" spans="1:33" ht="13.5">
      <c r="A85" s="9"/>
      <c r="B85" s="56" t="s">
        <v>55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32355.65+32355.65+32355.65+38134.46+15651.44</f>
        <v>150852.85</v>
      </c>
      <c r="AG85" s="79">
        <f t="shared" si="9"/>
        <v>95.84367172742613</v>
      </c>
    </row>
    <row r="86" spans="1:33" ht="13.5">
      <c r="A86" s="9"/>
      <c r="B86" s="56" t="s">
        <v>56</v>
      </c>
      <c r="C86" s="42">
        <f>420908.4-203302</f>
        <v>217606.40000000002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217606.40000000002</v>
      </c>
      <c r="AD86" s="16"/>
      <c r="AE86" s="66"/>
      <c r="AF86" s="90">
        <f>31498.87+32966.8+33642.28+34360.05+33352.59+37276.32</f>
        <v>203096.91</v>
      </c>
      <c r="AG86" s="79">
        <f t="shared" si="9"/>
        <v>93.33223195641304</v>
      </c>
    </row>
    <row r="87" spans="1:33" ht="13.5">
      <c r="A87" s="9" t="s">
        <v>116</v>
      </c>
      <c r="B87" s="55" t="s">
        <v>40</v>
      </c>
      <c r="C87" s="41">
        <f>SUM(C88:C93)</f>
        <v>3714133.06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3714133.06</v>
      </c>
      <c r="AD87" s="15"/>
      <c r="AE87" s="66"/>
      <c r="AF87" s="89">
        <f>SUM(AF88:AF93)</f>
        <v>3173787.5</v>
      </c>
      <c r="AG87" s="77">
        <f t="shared" si="9"/>
        <v>85.45163699654853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5">
        <f>1817091.18+2152.4+111090+12561.5+64077.04+3600+10682.48+2322.08+29886.95+109194.95</f>
        <v>2162658.58</v>
      </c>
      <c r="AG88" s="79">
        <f t="shared" si="9"/>
        <v>89.54043480155866</v>
      </c>
    </row>
    <row r="89" spans="1:33" ht="46.5" customHeight="1">
      <c r="A89" s="9"/>
      <c r="B89" s="56" t="s">
        <v>9</v>
      </c>
      <c r="C89" s="42">
        <f>781200+180067+186000</f>
        <v>1147267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1147267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+146129.18+29866.93</f>
        <v>928941.15</v>
      </c>
      <c r="AG89" s="79">
        <f t="shared" si="9"/>
        <v>80.96991807486836</v>
      </c>
    </row>
    <row r="90" spans="1:33" ht="33.75" customHeight="1">
      <c r="A90" s="9"/>
      <c r="B90" s="56" t="s">
        <v>168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169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57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7534.82+5001.66+5251.05+4496.36+3259.78+4952.46+857.47+7466.45</f>
        <v>38820.049999999996</v>
      </c>
      <c r="AG92" s="79">
        <f t="shared" si="9"/>
        <v>97.78350125944584</v>
      </c>
    </row>
    <row r="93" spans="1:33" ht="13.5">
      <c r="A93" s="9"/>
      <c r="B93" s="56" t="s">
        <v>58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1230.14+830.15+486.74+512.5+803.51+898.5+1040.49+756.49+729.73+1098.47</f>
        <v>8386.72</v>
      </c>
      <c r="AG93" s="79">
        <f t="shared" si="9"/>
        <v>26.126853582554517</v>
      </c>
    </row>
    <row r="94" spans="1:33" ht="13.5">
      <c r="A94" s="9" t="s">
        <v>117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99.2158153846154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110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127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29.25" customHeight="1">
      <c r="A102" s="9" t="s">
        <v>118</v>
      </c>
      <c r="B102" s="55" t="s">
        <v>162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7"/>
      <c r="AF102" s="89">
        <f>SUM(AF103:AF104)</f>
        <v>331841.31</v>
      </c>
      <c r="AG102" s="79">
        <f t="shared" si="9"/>
        <v>99.99999698651149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7"/>
      <c r="AF103" s="91">
        <f>41185.37+20592.68+20592.69+20592.68+20592.68+21080.87+21080.87+21080.87+21080.87+42161.74</f>
        <v>250041.31999999998</v>
      </c>
      <c r="AG103" s="79">
        <f t="shared" si="9"/>
        <v>99.99999999999999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7"/>
      <c r="AF104" s="91">
        <f>52000+14522.25+15277.74</f>
        <v>81799.99</v>
      </c>
      <c r="AG104" s="79">
        <f t="shared" si="9"/>
        <v>99.99998777506113</v>
      </c>
    </row>
    <row r="105" spans="1:33" ht="13.5">
      <c r="A105" s="9" t="s">
        <v>119</v>
      </c>
      <c r="B105" s="55" t="s">
        <v>20</v>
      </c>
      <c r="C105" s="41">
        <f>AC105+AD105</f>
        <v>13448892.32</v>
      </c>
      <c r="D105" s="41">
        <f aca="true" t="shared" si="14" ref="D105:AB105">SUM(D106:D110)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AC106+AC110+AC111+AC112</f>
        <v>12748892.32</v>
      </c>
      <c r="AD105" s="41">
        <f>AD106+AD110+AD111+AD112</f>
        <v>700000</v>
      </c>
      <c r="AE105" s="41">
        <f>AE106+AE110+AE111+AE112</f>
        <v>700000</v>
      </c>
      <c r="AF105" s="89">
        <f>AF106+AF110+AF111+AF112</f>
        <v>10894234.63</v>
      </c>
      <c r="AG105" s="78">
        <f t="shared" si="9"/>
        <v>81.00469816238368</v>
      </c>
    </row>
    <row r="106" spans="1:33" ht="46.5" customHeight="1">
      <c r="A106" s="9"/>
      <c r="B106" s="56" t="s">
        <v>212</v>
      </c>
      <c r="C106" s="42">
        <f>8326507.14+1750000+1400000+198000+579285.18+265000-40000+40000</f>
        <v>12518792.32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12518792.32</v>
      </c>
      <c r="AD106" s="33"/>
      <c r="AE106" s="69"/>
      <c r="AF106" s="91">
        <f>8940416.65+1921.66+16748.16+400726+11402.35+423487.01+485740.85+189613.05+15000+37520+153528.46</f>
        <v>10676104.190000001</v>
      </c>
      <c r="AG106" s="79">
        <f t="shared" si="9"/>
        <v>85.28062385813267</v>
      </c>
    </row>
    <row r="107" spans="1:33" ht="39" customHeight="1">
      <c r="A107" s="9"/>
      <c r="B107" s="128" t="s">
        <v>216</v>
      </c>
      <c r="C107" s="42">
        <f>15000</f>
        <v>15000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15000</v>
      </c>
      <c r="AD107" s="33"/>
      <c r="AE107" s="69"/>
      <c r="AF107" s="91">
        <v>15000</v>
      </c>
      <c r="AG107" s="79">
        <f t="shared" si="9"/>
        <v>100</v>
      </c>
    </row>
    <row r="108" spans="1:33" ht="34.5" customHeight="1">
      <c r="A108" s="9"/>
      <c r="B108" s="128" t="s">
        <v>213</v>
      </c>
      <c r="C108" s="42">
        <f>50000</f>
        <v>50000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50000</v>
      </c>
      <c r="AD108" s="33"/>
      <c r="AE108" s="69"/>
      <c r="AF108" s="91"/>
      <c r="AG108" s="79">
        <f t="shared" si="9"/>
        <v>0</v>
      </c>
    </row>
    <row r="109" spans="1:33" ht="36" customHeight="1">
      <c r="A109" s="9"/>
      <c r="B109" s="128" t="s">
        <v>215</v>
      </c>
      <c r="C109" s="42">
        <v>234000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234000</v>
      </c>
      <c r="AD109" s="33"/>
      <c r="AE109" s="69"/>
      <c r="AF109" s="91">
        <f>37520+124125</f>
        <v>161645</v>
      </c>
      <c r="AG109" s="79">
        <f t="shared" si="9"/>
        <v>69.07905982905983</v>
      </c>
    </row>
    <row r="110" spans="1:33" ht="42">
      <c r="A110" s="9"/>
      <c r="B110" s="56" t="s">
        <v>13</v>
      </c>
      <c r="C110" s="42">
        <v>150000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>C110</f>
        <v>150000</v>
      </c>
      <c r="AD110" s="16"/>
      <c r="AE110" s="71"/>
      <c r="AF110" s="91">
        <f>23789.68+114240.76</f>
        <v>138030.44</v>
      </c>
      <c r="AG110" s="79">
        <f t="shared" si="9"/>
        <v>92.02029333333334</v>
      </c>
    </row>
    <row r="111" spans="1:33" ht="13.5">
      <c r="A111" s="9"/>
      <c r="B111" s="26" t="s">
        <v>111</v>
      </c>
      <c r="C111" s="42">
        <f>AD111</f>
        <v>700000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/>
      <c r="AD111" s="32">
        <v>700000</v>
      </c>
      <c r="AE111" s="72">
        <f>AD111</f>
        <v>700000</v>
      </c>
      <c r="AF111" s="90"/>
      <c r="AG111" s="79">
        <f t="shared" si="9"/>
        <v>0</v>
      </c>
    </row>
    <row r="112" spans="1:33" ht="19.5" customHeight="1">
      <c r="A112" s="9"/>
      <c r="B112" s="56" t="s">
        <v>157</v>
      </c>
      <c r="C112" s="42">
        <f>AD112+AC112</f>
        <v>80100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60">
        <v>80100</v>
      </c>
      <c r="AD112" s="32"/>
      <c r="AE112" s="72"/>
      <c r="AF112" s="91">
        <v>80100</v>
      </c>
      <c r="AG112" s="79">
        <f t="shared" si="9"/>
        <v>100</v>
      </c>
    </row>
    <row r="113" spans="1:33" ht="27.75">
      <c r="A113" s="9" t="s">
        <v>120</v>
      </c>
      <c r="B113" s="55" t="s">
        <v>45</v>
      </c>
      <c r="C113" s="41">
        <f>SUM(C114:C114)</f>
        <v>121704.97</v>
      </c>
      <c r="D113" s="41">
        <f aca="true" t="shared" si="15" ref="D113:AB113">SUM(D114:D114)</f>
        <v>0</v>
      </c>
      <c r="E113" s="41">
        <f t="shared" si="15"/>
        <v>0</v>
      </c>
      <c r="F113" s="41">
        <f t="shared" si="15"/>
        <v>0</v>
      </c>
      <c r="G113" s="41">
        <f t="shared" si="15"/>
        <v>0</v>
      </c>
      <c r="H113" s="41">
        <f t="shared" si="15"/>
        <v>0</v>
      </c>
      <c r="I113" s="41">
        <f t="shared" si="15"/>
        <v>0</v>
      </c>
      <c r="J113" s="41">
        <f t="shared" si="15"/>
        <v>0</v>
      </c>
      <c r="K113" s="41">
        <f t="shared" si="15"/>
        <v>0</v>
      </c>
      <c r="L113" s="41">
        <f t="shared" si="15"/>
        <v>0</v>
      </c>
      <c r="M113" s="41">
        <f t="shared" si="15"/>
        <v>0</v>
      </c>
      <c r="N113" s="41">
        <f t="shared" si="15"/>
        <v>0</v>
      </c>
      <c r="O113" s="41">
        <f t="shared" si="15"/>
        <v>0</v>
      </c>
      <c r="P113" s="41">
        <f t="shared" si="15"/>
        <v>0</v>
      </c>
      <c r="Q113" s="41">
        <f t="shared" si="15"/>
        <v>0</v>
      </c>
      <c r="R113" s="41">
        <f t="shared" si="15"/>
        <v>0</v>
      </c>
      <c r="S113" s="41">
        <f t="shared" si="15"/>
        <v>0</v>
      </c>
      <c r="T113" s="41">
        <f t="shared" si="15"/>
        <v>0</v>
      </c>
      <c r="U113" s="41">
        <f t="shared" si="15"/>
        <v>0</v>
      </c>
      <c r="V113" s="41">
        <f t="shared" si="15"/>
        <v>0</v>
      </c>
      <c r="W113" s="41">
        <f t="shared" si="15"/>
        <v>0</v>
      </c>
      <c r="X113" s="41">
        <f t="shared" si="15"/>
        <v>0</v>
      </c>
      <c r="Y113" s="41">
        <f t="shared" si="15"/>
        <v>0</v>
      </c>
      <c r="Z113" s="41">
        <f t="shared" si="15"/>
        <v>0</v>
      </c>
      <c r="AA113" s="41">
        <f t="shared" si="15"/>
        <v>0</v>
      </c>
      <c r="AB113" s="41">
        <f t="shared" si="15"/>
        <v>0</v>
      </c>
      <c r="AC113" s="41">
        <f t="shared" si="7"/>
        <v>121704.97</v>
      </c>
      <c r="AD113" s="15"/>
      <c r="AE113" s="66"/>
      <c r="AF113" s="89">
        <f>SUM(AF114:AF114)</f>
        <v>119004</v>
      </c>
      <c r="AG113" s="78">
        <f t="shared" si="9"/>
        <v>97.78072333447024</v>
      </c>
    </row>
    <row r="114" spans="1:33" ht="23.25" customHeight="1">
      <c r="A114" s="9"/>
      <c r="B114" s="56" t="s">
        <v>46</v>
      </c>
      <c r="C114" s="42">
        <f>102000+19704.97</f>
        <v>121704.97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121704.97</v>
      </c>
      <c r="AD114" s="16"/>
      <c r="AE114" s="66"/>
      <c r="AF114" s="91">
        <f>99616.15+19387.85</f>
        <v>119004</v>
      </c>
      <c r="AG114" s="79">
        <f t="shared" si="9"/>
        <v>97.78072333447024</v>
      </c>
    </row>
    <row r="115" spans="1:33" ht="13.5">
      <c r="A115" s="9" t="s">
        <v>121</v>
      </c>
      <c r="B115" s="55" t="s">
        <v>1</v>
      </c>
      <c r="C115" s="41">
        <f>SUM(C116:C117)</f>
        <v>851133.72</v>
      </c>
      <c r="D115" s="41">
        <f aca="true" t="shared" si="16" ref="D115:AB115">SUM(D116:D117)</f>
        <v>0</v>
      </c>
      <c r="E115" s="41">
        <f t="shared" si="16"/>
        <v>0</v>
      </c>
      <c r="F115" s="41">
        <f t="shared" si="16"/>
        <v>0</v>
      </c>
      <c r="G115" s="41">
        <f t="shared" si="16"/>
        <v>0</v>
      </c>
      <c r="H115" s="41">
        <f t="shared" si="16"/>
        <v>0</v>
      </c>
      <c r="I115" s="41">
        <f t="shared" si="16"/>
        <v>0</v>
      </c>
      <c r="J115" s="41">
        <f t="shared" si="16"/>
        <v>0</v>
      </c>
      <c r="K115" s="41">
        <f t="shared" si="16"/>
        <v>0</v>
      </c>
      <c r="L115" s="41">
        <f t="shared" si="16"/>
        <v>0</v>
      </c>
      <c r="M115" s="41">
        <f t="shared" si="16"/>
        <v>0</v>
      </c>
      <c r="N115" s="41">
        <f t="shared" si="16"/>
        <v>0</v>
      </c>
      <c r="O115" s="41">
        <f t="shared" si="16"/>
        <v>0</v>
      </c>
      <c r="P115" s="41">
        <f t="shared" si="16"/>
        <v>0</v>
      </c>
      <c r="Q115" s="41">
        <f t="shared" si="16"/>
        <v>0</v>
      </c>
      <c r="R115" s="41">
        <f t="shared" si="16"/>
        <v>0</v>
      </c>
      <c r="S115" s="41">
        <f t="shared" si="16"/>
        <v>0</v>
      </c>
      <c r="T115" s="41">
        <f t="shared" si="16"/>
        <v>0</v>
      </c>
      <c r="U115" s="41">
        <f t="shared" si="16"/>
        <v>0</v>
      </c>
      <c r="V115" s="41">
        <f t="shared" si="16"/>
        <v>0</v>
      </c>
      <c r="W115" s="41">
        <f t="shared" si="16"/>
        <v>0</v>
      </c>
      <c r="X115" s="41">
        <f t="shared" si="16"/>
        <v>0</v>
      </c>
      <c r="Y115" s="41">
        <f t="shared" si="16"/>
        <v>0</v>
      </c>
      <c r="Z115" s="41">
        <f t="shared" si="16"/>
        <v>0</v>
      </c>
      <c r="AA115" s="41">
        <f t="shared" si="16"/>
        <v>0</v>
      </c>
      <c r="AB115" s="41">
        <f t="shared" si="16"/>
        <v>0</v>
      </c>
      <c r="AC115" s="41">
        <f t="shared" si="7"/>
        <v>851133.72</v>
      </c>
      <c r="AD115" s="15"/>
      <c r="AE115" s="66"/>
      <c r="AF115" s="89">
        <f>SUM(AF116:AF117)</f>
        <v>762317.8600000001</v>
      </c>
      <c r="AG115" s="78">
        <f t="shared" si="9"/>
        <v>89.56499338317839</v>
      </c>
    </row>
    <row r="116" spans="1:33" ht="13.5">
      <c r="A116" s="9"/>
      <c r="B116" s="56" t="s">
        <v>59</v>
      </c>
      <c r="C116" s="42">
        <v>751133.72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751133.72</v>
      </c>
      <c r="AD116" s="16"/>
      <c r="AE116" s="66"/>
      <c r="AF116" s="90">
        <f>489369.46+67184.23+178391.37</f>
        <v>734945.06</v>
      </c>
      <c r="AG116" s="79">
        <f t="shared" si="9"/>
        <v>97.84476990328702</v>
      </c>
    </row>
    <row r="117" spans="1:33" ht="13.5">
      <c r="A117" s="9"/>
      <c r="B117" s="56" t="s">
        <v>30</v>
      </c>
      <c r="C117" s="42">
        <v>100000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100000</v>
      </c>
      <c r="AD117" s="16"/>
      <c r="AE117" s="66"/>
      <c r="AF117" s="90">
        <f>6764.94+4155.7+1905.74+2325.52+2271.44+3547.54+3472.67+1364.06+1565.19</f>
        <v>27372.800000000003</v>
      </c>
      <c r="AG117" s="79">
        <f t="shared" si="9"/>
        <v>27.3728</v>
      </c>
    </row>
    <row r="118" spans="1:33" ht="13.5">
      <c r="A118" s="9" t="s">
        <v>122</v>
      </c>
      <c r="B118" s="55" t="s">
        <v>31</v>
      </c>
      <c r="C118" s="41">
        <v>188376.21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41">
        <f t="shared" si="7"/>
        <v>188376.21</v>
      </c>
      <c r="AD118" s="16"/>
      <c r="AE118" s="66"/>
      <c r="AF118" s="89">
        <f>40000+62359+32745.2+53272</f>
        <v>188376.2</v>
      </c>
      <c r="AG118" s="79">
        <f t="shared" si="9"/>
        <v>99.99999469147406</v>
      </c>
    </row>
    <row r="119" spans="1:33" ht="13.5">
      <c r="A119" s="9" t="s">
        <v>123</v>
      </c>
      <c r="B119" s="55" t="s">
        <v>164</v>
      </c>
      <c r="C119" s="41">
        <f>SUM(C120:C121)</f>
        <v>97441</v>
      </c>
      <c r="D119" s="41">
        <f aca="true" t="shared" si="17" ref="D119:AB119">SUM(D120:D121)</f>
        <v>0</v>
      </c>
      <c r="E119" s="41">
        <f t="shared" si="17"/>
        <v>0</v>
      </c>
      <c r="F119" s="41">
        <f t="shared" si="17"/>
        <v>0</v>
      </c>
      <c r="G119" s="41">
        <f t="shared" si="17"/>
        <v>0</v>
      </c>
      <c r="H119" s="41">
        <f t="shared" si="17"/>
        <v>0</v>
      </c>
      <c r="I119" s="41">
        <f t="shared" si="17"/>
        <v>0</v>
      </c>
      <c r="J119" s="41">
        <f t="shared" si="17"/>
        <v>0</v>
      </c>
      <c r="K119" s="41">
        <f t="shared" si="17"/>
        <v>0</v>
      </c>
      <c r="L119" s="41">
        <f t="shared" si="17"/>
        <v>0</v>
      </c>
      <c r="M119" s="41">
        <f t="shared" si="17"/>
        <v>0</v>
      </c>
      <c r="N119" s="41">
        <f t="shared" si="17"/>
        <v>0</v>
      </c>
      <c r="O119" s="41">
        <f t="shared" si="17"/>
        <v>0</v>
      </c>
      <c r="P119" s="41">
        <f t="shared" si="17"/>
        <v>0</v>
      </c>
      <c r="Q119" s="41">
        <f t="shared" si="17"/>
        <v>0</v>
      </c>
      <c r="R119" s="41">
        <f t="shared" si="17"/>
        <v>0</v>
      </c>
      <c r="S119" s="41">
        <f t="shared" si="17"/>
        <v>0</v>
      </c>
      <c r="T119" s="41">
        <f t="shared" si="17"/>
        <v>0</v>
      </c>
      <c r="U119" s="41">
        <f t="shared" si="17"/>
        <v>0</v>
      </c>
      <c r="V119" s="41">
        <f t="shared" si="17"/>
        <v>0</v>
      </c>
      <c r="W119" s="41">
        <f t="shared" si="17"/>
        <v>0</v>
      </c>
      <c r="X119" s="41">
        <f t="shared" si="17"/>
        <v>0</v>
      </c>
      <c r="Y119" s="41">
        <f t="shared" si="17"/>
        <v>0</v>
      </c>
      <c r="Z119" s="41">
        <f t="shared" si="17"/>
        <v>0</v>
      </c>
      <c r="AA119" s="41">
        <f t="shared" si="17"/>
        <v>0</v>
      </c>
      <c r="AB119" s="41">
        <f t="shared" si="17"/>
        <v>0</v>
      </c>
      <c r="AC119" s="41">
        <f t="shared" si="7"/>
        <v>97441</v>
      </c>
      <c r="AD119" s="48"/>
      <c r="AE119" s="66"/>
      <c r="AF119" s="89">
        <f>SUM(AF120:AF121)</f>
        <v>93696.51999999999</v>
      </c>
      <c r="AG119" s="78">
        <f t="shared" si="9"/>
        <v>96.15718229492718</v>
      </c>
    </row>
    <row r="120" spans="1:33" ht="13.5">
      <c r="A120" s="9"/>
      <c r="B120" s="56" t="s">
        <v>32</v>
      </c>
      <c r="C120" s="42">
        <v>93250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93250</v>
      </c>
      <c r="AD120" s="16"/>
      <c r="AE120" s="66"/>
      <c r="AF120" s="90">
        <f>27053.44-4752.8+21602.9+20816.5+14571.55+10371.2</f>
        <v>89662.79</v>
      </c>
      <c r="AG120" s="79">
        <f t="shared" si="9"/>
        <v>96.15312600536193</v>
      </c>
    </row>
    <row r="121" spans="1:33" ht="13.5">
      <c r="A121" s="9"/>
      <c r="B121" s="56" t="s">
        <v>60</v>
      </c>
      <c r="C121" s="42">
        <v>4191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4191</v>
      </c>
      <c r="AD121" s="16"/>
      <c r="AE121" s="66"/>
      <c r="AF121" s="90">
        <f>400.51+657.98+772.42+986.98+1215.84</f>
        <v>4033.7299999999996</v>
      </c>
      <c r="AG121" s="79">
        <f t="shared" si="9"/>
        <v>96.24743497971843</v>
      </c>
    </row>
    <row r="122" spans="1:33" ht="13.5">
      <c r="A122" s="9" t="s">
        <v>124</v>
      </c>
      <c r="B122" s="55" t="s">
        <v>163</v>
      </c>
      <c r="C122" s="41">
        <f>SUM(C123:C124)</f>
        <v>31520</v>
      </c>
      <c r="D122" s="41">
        <f aca="true" t="shared" si="18" ref="D122:AB122">SUM(D123:D124)</f>
        <v>0</v>
      </c>
      <c r="E122" s="41">
        <f t="shared" si="18"/>
        <v>0</v>
      </c>
      <c r="F122" s="41">
        <f t="shared" si="18"/>
        <v>0</v>
      </c>
      <c r="G122" s="41">
        <f t="shared" si="18"/>
        <v>0</v>
      </c>
      <c r="H122" s="41">
        <f t="shared" si="18"/>
        <v>0</v>
      </c>
      <c r="I122" s="41">
        <f t="shared" si="18"/>
        <v>0</v>
      </c>
      <c r="J122" s="41">
        <f t="shared" si="18"/>
        <v>0</v>
      </c>
      <c r="K122" s="41">
        <f t="shared" si="18"/>
        <v>0</v>
      </c>
      <c r="L122" s="41">
        <f t="shared" si="18"/>
        <v>0</v>
      </c>
      <c r="M122" s="41">
        <f t="shared" si="18"/>
        <v>0</v>
      </c>
      <c r="N122" s="41">
        <f t="shared" si="18"/>
        <v>0</v>
      </c>
      <c r="O122" s="41">
        <f t="shared" si="18"/>
        <v>0</v>
      </c>
      <c r="P122" s="41">
        <f t="shared" si="18"/>
        <v>0</v>
      </c>
      <c r="Q122" s="41">
        <f t="shared" si="18"/>
        <v>0</v>
      </c>
      <c r="R122" s="41">
        <f t="shared" si="18"/>
        <v>0</v>
      </c>
      <c r="S122" s="41">
        <f t="shared" si="18"/>
        <v>0</v>
      </c>
      <c r="T122" s="41">
        <f t="shared" si="18"/>
        <v>0</v>
      </c>
      <c r="U122" s="41">
        <f t="shared" si="18"/>
        <v>0</v>
      </c>
      <c r="V122" s="41">
        <f t="shared" si="18"/>
        <v>0</v>
      </c>
      <c r="W122" s="41">
        <f t="shared" si="18"/>
        <v>0</v>
      </c>
      <c r="X122" s="41">
        <f t="shared" si="18"/>
        <v>0</v>
      </c>
      <c r="Y122" s="41">
        <f t="shared" si="18"/>
        <v>0</v>
      </c>
      <c r="Z122" s="41">
        <f t="shared" si="18"/>
        <v>0</v>
      </c>
      <c r="AA122" s="41">
        <f t="shared" si="18"/>
        <v>0</v>
      </c>
      <c r="AB122" s="41">
        <f t="shared" si="18"/>
        <v>0</v>
      </c>
      <c r="AC122" s="41">
        <f t="shared" si="7"/>
        <v>31520</v>
      </c>
      <c r="AD122" s="16"/>
      <c r="AE122" s="66"/>
      <c r="AF122" s="89">
        <f>SUM(AF123:AF124)</f>
        <v>2417.91</v>
      </c>
      <c r="AG122" s="78">
        <f t="shared" si="9"/>
        <v>7.671034263959391</v>
      </c>
    </row>
    <row r="123" spans="1:33" ht="13.5">
      <c r="A123" s="9"/>
      <c r="B123" s="56" t="s">
        <v>33</v>
      </c>
      <c r="C123" s="42">
        <v>5331.2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5331.2</v>
      </c>
      <c r="AD123" s="16"/>
      <c r="AE123" s="66"/>
      <c r="AF123" s="90">
        <f>570.07+1786.59</f>
        <v>2356.66</v>
      </c>
      <c r="AG123" s="79">
        <f t="shared" si="9"/>
        <v>44.20505702280912</v>
      </c>
    </row>
    <row r="124" spans="1:33" ht="13.5">
      <c r="A124" s="9"/>
      <c r="B124" s="56" t="s">
        <v>61</v>
      </c>
      <c r="C124" s="42">
        <v>26188.8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2">
        <f t="shared" si="7"/>
        <v>26188.8</v>
      </c>
      <c r="AD124" s="16"/>
      <c r="AE124" s="66"/>
      <c r="AF124" s="90">
        <v>61.25</v>
      </c>
      <c r="AG124" s="79">
        <f t="shared" si="9"/>
        <v>0.2338786045943304</v>
      </c>
    </row>
    <row r="125" spans="1:33" ht="13.5">
      <c r="A125" s="9" t="s">
        <v>132</v>
      </c>
      <c r="B125" s="55" t="s">
        <v>133</v>
      </c>
      <c r="C125" s="41">
        <f>1500000-186000-265000-599081.16</f>
        <v>449918.83999999997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1">
        <f t="shared" si="7"/>
        <v>449918.83999999997</v>
      </c>
      <c r="AD125" s="16"/>
      <c r="AE125" s="66"/>
      <c r="AF125" s="92"/>
      <c r="AG125" s="77">
        <f t="shared" si="9"/>
        <v>0</v>
      </c>
    </row>
    <row r="126" spans="1:33" s="3" customFormat="1" ht="23.25" customHeight="1">
      <c r="A126" s="22" t="s">
        <v>108</v>
      </c>
      <c r="B126" s="59" t="s">
        <v>51</v>
      </c>
      <c r="C126" s="40">
        <f>C127</f>
        <v>32849</v>
      </c>
      <c r="D126" s="40">
        <f aca="true" t="shared" si="19" ref="D126:AB126">D127</f>
        <v>0</v>
      </c>
      <c r="E126" s="40">
        <f t="shared" si="19"/>
        <v>0</v>
      </c>
      <c r="F126" s="40">
        <f t="shared" si="19"/>
        <v>0</v>
      </c>
      <c r="G126" s="40">
        <f t="shared" si="19"/>
        <v>0</v>
      </c>
      <c r="H126" s="40">
        <f t="shared" si="19"/>
        <v>0</v>
      </c>
      <c r="I126" s="40">
        <f t="shared" si="19"/>
        <v>0</v>
      </c>
      <c r="J126" s="40">
        <f t="shared" si="19"/>
        <v>0</v>
      </c>
      <c r="K126" s="40">
        <f t="shared" si="19"/>
        <v>0</v>
      </c>
      <c r="L126" s="40">
        <f t="shared" si="19"/>
        <v>0</v>
      </c>
      <c r="M126" s="40">
        <f t="shared" si="19"/>
        <v>0</v>
      </c>
      <c r="N126" s="40">
        <f t="shared" si="19"/>
        <v>0</v>
      </c>
      <c r="O126" s="40">
        <f t="shared" si="19"/>
        <v>0</v>
      </c>
      <c r="P126" s="40">
        <f t="shared" si="19"/>
        <v>0</v>
      </c>
      <c r="Q126" s="40">
        <f t="shared" si="19"/>
        <v>0</v>
      </c>
      <c r="R126" s="40">
        <f t="shared" si="19"/>
        <v>0</v>
      </c>
      <c r="S126" s="40">
        <f t="shared" si="19"/>
        <v>0</v>
      </c>
      <c r="T126" s="40">
        <f t="shared" si="19"/>
        <v>0</v>
      </c>
      <c r="U126" s="40">
        <f t="shared" si="19"/>
        <v>0</v>
      </c>
      <c r="V126" s="40">
        <f t="shared" si="19"/>
        <v>0</v>
      </c>
      <c r="W126" s="40">
        <f t="shared" si="19"/>
        <v>0</v>
      </c>
      <c r="X126" s="40">
        <f t="shared" si="19"/>
        <v>0</v>
      </c>
      <c r="Y126" s="40">
        <f t="shared" si="19"/>
        <v>0</v>
      </c>
      <c r="Z126" s="40">
        <f t="shared" si="19"/>
        <v>0</v>
      </c>
      <c r="AA126" s="40">
        <f t="shared" si="19"/>
        <v>0</v>
      </c>
      <c r="AB126" s="40">
        <f t="shared" si="19"/>
        <v>0</v>
      </c>
      <c r="AC126" s="40">
        <f>AC127</f>
        <v>32849</v>
      </c>
      <c r="AD126" s="17"/>
      <c r="AE126" s="73"/>
      <c r="AF126" s="93">
        <f>AF127</f>
        <v>32827.39</v>
      </c>
      <c r="AG126" s="76">
        <f t="shared" si="9"/>
        <v>99.93421413132819</v>
      </c>
    </row>
    <row r="127" spans="1:33" ht="27.75">
      <c r="A127" s="9" t="s">
        <v>125</v>
      </c>
      <c r="B127" s="114" t="s">
        <v>24</v>
      </c>
      <c r="C127" s="38">
        <v>32849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80">
        <f>C127</f>
        <v>32849</v>
      </c>
      <c r="AD127" s="16"/>
      <c r="AE127" s="66"/>
      <c r="AF127" s="131">
        <v>32827.39</v>
      </c>
      <c r="AG127" s="77">
        <f t="shared" si="9"/>
        <v>99.93421413132819</v>
      </c>
    </row>
    <row r="128" spans="1:33" s="3" customFormat="1" ht="15">
      <c r="A128" s="22" t="s">
        <v>109</v>
      </c>
      <c r="B128" s="59" t="s">
        <v>28</v>
      </c>
      <c r="C128" s="40">
        <f>AC128</f>
        <v>832234.5</v>
      </c>
      <c r="D128" s="40">
        <f aca="true" t="shared" si="20" ref="D128:AB128">SUM(D130:D135)</f>
        <v>0</v>
      </c>
      <c r="E128" s="40">
        <f t="shared" si="20"/>
        <v>0</v>
      </c>
      <c r="F128" s="40">
        <f t="shared" si="20"/>
        <v>0</v>
      </c>
      <c r="G128" s="40">
        <f t="shared" si="20"/>
        <v>0</v>
      </c>
      <c r="H128" s="40">
        <f t="shared" si="20"/>
        <v>0</v>
      </c>
      <c r="I128" s="40">
        <f t="shared" si="20"/>
        <v>0</v>
      </c>
      <c r="J128" s="40">
        <f t="shared" si="20"/>
        <v>0</v>
      </c>
      <c r="K128" s="40">
        <f t="shared" si="20"/>
        <v>0</v>
      </c>
      <c r="L128" s="40">
        <f t="shared" si="20"/>
        <v>0</v>
      </c>
      <c r="M128" s="40">
        <f t="shared" si="20"/>
        <v>0</v>
      </c>
      <c r="N128" s="40">
        <f t="shared" si="20"/>
        <v>0</v>
      </c>
      <c r="O128" s="40">
        <f t="shared" si="20"/>
        <v>0</v>
      </c>
      <c r="P128" s="40">
        <f t="shared" si="20"/>
        <v>0</v>
      </c>
      <c r="Q128" s="40">
        <f t="shared" si="20"/>
        <v>0</v>
      </c>
      <c r="R128" s="40">
        <f t="shared" si="20"/>
        <v>0</v>
      </c>
      <c r="S128" s="40">
        <f t="shared" si="20"/>
        <v>0</v>
      </c>
      <c r="T128" s="40">
        <f t="shared" si="20"/>
        <v>0</v>
      </c>
      <c r="U128" s="40">
        <f t="shared" si="20"/>
        <v>0</v>
      </c>
      <c r="V128" s="40">
        <f t="shared" si="20"/>
        <v>0</v>
      </c>
      <c r="W128" s="40">
        <f t="shared" si="20"/>
        <v>0</v>
      </c>
      <c r="X128" s="40">
        <f t="shared" si="20"/>
        <v>0</v>
      </c>
      <c r="Y128" s="40">
        <f t="shared" si="20"/>
        <v>0</v>
      </c>
      <c r="Z128" s="40">
        <f t="shared" si="20"/>
        <v>0</v>
      </c>
      <c r="AA128" s="40">
        <f t="shared" si="20"/>
        <v>0</v>
      </c>
      <c r="AB128" s="40">
        <f t="shared" si="20"/>
        <v>0</v>
      </c>
      <c r="AC128" s="40">
        <f>AC130+AC131</f>
        <v>832234.5</v>
      </c>
      <c r="AD128" s="34">
        <f>AD135</f>
        <v>0</v>
      </c>
      <c r="AE128" s="65">
        <f>AD128</f>
        <v>0</v>
      </c>
      <c r="AF128" s="93">
        <f>AF129+AF135</f>
        <v>686119.1900000001</v>
      </c>
      <c r="AG128" s="76">
        <f t="shared" si="9"/>
        <v>82.44301215582868</v>
      </c>
    </row>
    <row r="129" spans="1:33" ht="21" customHeight="1">
      <c r="A129" s="9" t="s">
        <v>112</v>
      </c>
      <c r="B129" s="55" t="s">
        <v>53</v>
      </c>
      <c r="C129" s="41">
        <f>C130+C131</f>
        <v>832234.5</v>
      </c>
      <c r="D129" s="41">
        <f aca="true" t="shared" si="21" ref="D129:AB129">D130+D135</f>
        <v>0</v>
      </c>
      <c r="E129" s="41">
        <f t="shared" si="21"/>
        <v>0</v>
      </c>
      <c r="F129" s="41">
        <f t="shared" si="21"/>
        <v>0</v>
      </c>
      <c r="G129" s="41">
        <f t="shared" si="21"/>
        <v>0</v>
      </c>
      <c r="H129" s="41">
        <f t="shared" si="21"/>
        <v>0</v>
      </c>
      <c r="I129" s="41">
        <f t="shared" si="21"/>
        <v>0</v>
      </c>
      <c r="J129" s="41">
        <f t="shared" si="21"/>
        <v>0</v>
      </c>
      <c r="K129" s="41">
        <f t="shared" si="21"/>
        <v>0</v>
      </c>
      <c r="L129" s="41">
        <f t="shared" si="21"/>
        <v>0</v>
      </c>
      <c r="M129" s="41">
        <f t="shared" si="21"/>
        <v>0</v>
      </c>
      <c r="N129" s="41">
        <f t="shared" si="21"/>
        <v>0</v>
      </c>
      <c r="O129" s="41">
        <f t="shared" si="21"/>
        <v>0</v>
      </c>
      <c r="P129" s="41">
        <f t="shared" si="21"/>
        <v>0</v>
      </c>
      <c r="Q129" s="41">
        <f t="shared" si="21"/>
        <v>0</v>
      </c>
      <c r="R129" s="41">
        <f t="shared" si="21"/>
        <v>0</v>
      </c>
      <c r="S129" s="41">
        <f t="shared" si="21"/>
        <v>0</v>
      </c>
      <c r="T129" s="41">
        <f t="shared" si="21"/>
        <v>0</v>
      </c>
      <c r="U129" s="41">
        <f t="shared" si="21"/>
        <v>0</v>
      </c>
      <c r="V129" s="41">
        <f t="shared" si="21"/>
        <v>0</v>
      </c>
      <c r="W129" s="41">
        <f t="shared" si="21"/>
        <v>0</v>
      </c>
      <c r="X129" s="41">
        <f t="shared" si="21"/>
        <v>0</v>
      </c>
      <c r="Y129" s="41">
        <f t="shared" si="21"/>
        <v>0</v>
      </c>
      <c r="Z129" s="41">
        <f t="shared" si="21"/>
        <v>0</v>
      </c>
      <c r="AA129" s="41">
        <f t="shared" si="21"/>
        <v>0</v>
      </c>
      <c r="AB129" s="41">
        <f t="shared" si="21"/>
        <v>0</v>
      </c>
      <c r="AC129" s="41">
        <f>C129</f>
        <v>832234.5</v>
      </c>
      <c r="AD129" s="61"/>
      <c r="AE129" s="74"/>
      <c r="AF129" s="89">
        <f>AF130+AF131</f>
        <v>686119.1900000001</v>
      </c>
      <c r="AG129" s="130">
        <f t="shared" si="9"/>
        <v>82.44301215582868</v>
      </c>
    </row>
    <row r="130" spans="1:33" ht="42">
      <c r="A130" s="9"/>
      <c r="B130" s="56" t="s">
        <v>220</v>
      </c>
      <c r="C130" s="42">
        <v>723779.5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2">
        <f>C130</f>
        <v>723779.5</v>
      </c>
      <c r="AD130" s="62"/>
      <c r="AE130" s="75"/>
      <c r="AF130" s="115">
        <f>24211.33+10124.25+10765.51+13157.92+11695.74+9191.49+14350.76+21184.89+15358.73+16539.68+6350+11796.83+18600+6214.66+12544.51+464800+19232.89</f>
        <v>686119.1900000001</v>
      </c>
      <c r="AG130" s="129">
        <f t="shared" si="9"/>
        <v>94.79671502163298</v>
      </c>
    </row>
    <row r="131" spans="1:33" ht="32.25" customHeight="1">
      <c r="A131" s="9"/>
      <c r="B131" s="117" t="s">
        <v>14</v>
      </c>
      <c r="C131" s="42">
        <v>108455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2">
        <f>C131</f>
        <v>108455</v>
      </c>
      <c r="AD131" s="62"/>
      <c r="AE131" s="75"/>
      <c r="AF131" s="91">
        <v>0</v>
      </c>
      <c r="AG131" s="129">
        <f t="shared" si="9"/>
        <v>0</v>
      </c>
    </row>
    <row r="132" spans="1:33" ht="32.25" customHeight="1">
      <c r="A132" s="118" t="s">
        <v>207</v>
      </c>
      <c r="B132" s="119" t="s">
        <v>219</v>
      </c>
      <c r="C132" s="124">
        <f>C133</f>
        <v>20000000</v>
      </c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4">
        <f>AC133</f>
        <v>20000000</v>
      </c>
      <c r="AD132" s="120"/>
      <c r="AE132" s="121"/>
      <c r="AF132" s="122"/>
      <c r="AG132" s="123"/>
    </row>
    <row r="133" spans="1:33" ht="114.75" customHeight="1">
      <c r="A133" s="9" t="s">
        <v>208</v>
      </c>
      <c r="B133" s="133" t="s">
        <v>221</v>
      </c>
      <c r="C133" s="38">
        <f>AC133</f>
        <v>20000000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8">
        <v>20000000</v>
      </c>
      <c r="AD133" s="62"/>
      <c r="AE133" s="75"/>
      <c r="AF133" s="90"/>
      <c r="AG133" s="77">
        <f t="shared" si="9"/>
        <v>0</v>
      </c>
    </row>
    <row r="134" spans="1:33" ht="43.5" customHeight="1">
      <c r="A134" s="118" t="s">
        <v>209</v>
      </c>
      <c r="B134" s="126" t="s">
        <v>211</v>
      </c>
      <c r="C134" s="124">
        <f>C135</f>
        <v>16489400</v>
      </c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4">
        <f>AC135</f>
        <v>16489400</v>
      </c>
      <c r="AD134" s="120"/>
      <c r="AE134" s="121"/>
      <c r="AF134" s="122"/>
      <c r="AG134" s="123"/>
    </row>
    <row r="135" spans="1:33" ht="99" customHeight="1">
      <c r="A135" s="9" t="s">
        <v>210</v>
      </c>
      <c r="B135" s="51" t="s">
        <v>214</v>
      </c>
      <c r="C135" s="38">
        <f>AC135</f>
        <v>16489400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16489400</v>
      </c>
      <c r="AD135" s="35"/>
      <c r="AE135" s="68"/>
      <c r="AF135" s="94"/>
      <c r="AG135" s="77">
        <f t="shared" si="9"/>
        <v>0</v>
      </c>
    </row>
    <row r="136" spans="1:33" ht="24" customHeight="1">
      <c r="A136" s="139" t="s">
        <v>47</v>
      </c>
      <c r="B136" s="140"/>
      <c r="C136" s="50">
        <f>AC136+AE136</f>
        <v>127936419.46000001</v>
      </c>
      <c r="D136" s="50">
        <f aca="true" t="shared" si="22" ref="D136:AB136">D126+D69+D128</f>
        <v>0</v>
      </c>
      <c r="E136" s="50">
        <f t="shared" si="22"/>
        <v>0</v>
      </c>
      <c r="F136" s="50">
        <f t="shared" si="22"/>
        <v>0</v>
      </c>
      <c r="G136" s="50">
        <f t="shared" si="22"/>
        <v>0</v>
      </c>
      <c r="H136" s="50">
        <f t="shared" si="22"/>
        <v>0</v>
      </c>
      <c r="I136" s="50">
        <f t="shared" si="22"/>
        <v>0</v>
      </c>
      <c r="J136" s="50">
        <f t="shared" si="22"/>
        <v>0</v>
      </c>
      <c r="K136" s="50">
        <f t="shared" si="22"/>
        <v>0</v>
      </c>
      <c r="L136" s="50">
        <f t="shared" si="22"/>
        <v>0</v>
      </c>
      <c r="M136" s="50">
        <f t="shared" si="22"/>
        <v>0</v>
      </c>
      <c r="N136" s="50">
        <f t="shared" si="22"/>
        <v>0</v>
      </c>
      <c r="O136" s="50">
        <f t="shared" si="22"/>
        <v>0</v>
      </c>
      <c r="P136" s="50">
        <f t="shared" si="22"/>
        <v>0</v>
      </c>
      <c r="Q136" s="50">
        <f t="shared" si="22"/>
        <v>0</v>
      </c>
      <c r="R136" s="50">
        <f t="shared" si="22"/>
        <v>0</v>
      </c>
      <c r="S136" s="50">
        <f t="shared" si="22"/>
        <v>0</v>
      </c>
      <c r="T136" s="50">
        <f t="shared" si="22"/>
        <v>0</v>
      </c>
      <c r="U136" s="50">
        <f t="shared" si="22"/>
        <v>0</v>
      </c>
      <c r="V136" s="50">
        <f t="shared" si="22"/>
        <v>0</v>
      </c>
      <c r="W136" s="50">
        <f t="shared" si="22"/>
        <v>0</v>
      </c>
      <c r="X136" s="50">
        <f t="shared" si="22"/>
        <v>0</v>
      </c>
      <c r="Y136" s="50">
        <f t="shared" si="22"/>
        <v>0</v>
      </c>
      <c r="Z136" s="50">
        <f t="shared" si="22"/>
        <v>0</v>
      </c>
      <c r="AA136" s="50">
        <f t="shared" si="22"/>
        <v>0</v>
      </c>
      <c r="AB136" s="50">
        <f t="shared" si="22"/>
        <v>0</v>
      </c>
      <c r="AC136" s="50">
        <f>AC134+AC132+AC128+AC126+AC69</f>
        <v>83670955.02000001</v>
      </c>
      <c r="AD136" s="34">
        <f>AE136</f>
        <v>44265464.44</v>
      </c>
      <c r="AE136" s="65">
        <f>AE6+AE65+AE67+AE69+AE126+AE128</f>
        <v>44265464.44</v>
      </c>
      <c r="AF136" s="95">
        <f>AF128+AF126+AF69+AF67+AF65+AF6</f>
        <v>63768947.26</v>
      </c>
      <c r="AG136" s="76">
        <f t="shared" si="9"/>
        <v>49.84424883012901</v>
      </c>
    </row>
    <row r="137" spans="15:18" ht="12.75">
      <c r="O137" s="8"/>
      <c r="Q137" s="11"/>
      <c r="R137" s="11"/>
    </row>
    <row r="138" spans="1:29" s="4" customFormat="1" ht="18">
      <c r="A138" s="23"/>
      <c r="C138" s="1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3"/>
      <c r="P138" s="5"/>
      <c r="Q138" s="14"/>
      <c r="R138" s="14"/>
      <c r="S138" s="14"/>
      <c r="T138" s="14"/>
      <c r="U138" s="14"/>
      <c r="V138" s="14"/>
      <c r="W138" s="14"/>
      <c r="X138" s="5"/>
      <c r="Y138" s="5"/>
      <c r="Z138" s="5"/>
      <c r="AA138" s="5"/>
      <c r="AB138" s="5"/>
      <c r="AC138" s="5"/>
    </row>
    <row r="139" spans="15:23" ht="12.75">
      <c r="O139" s="8"/>
      <c r="Q139" s="10"/>
      <c r="R139" s="10"/>
      <c r="S139" s="10"/>
      <c r="T139" s="10"/>
      <c r="U139" s="10"/>
      <c r="V139" s="10"/>
      <c r="W139" s="10"/>
    </row>
    <row r="140" spans="1:31" ht="17.25">
      <c r="A140" s="138"/>
      <c r="B140" s="138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  <c r="AE140" s="12"/>
    </row>
    <row r="141" ht="12.75">
      <c r="AD141" s="8"/>
    </row>
  </sheetData>
  <sheetProtection/>
  <mergeCells count="10">
    <mergeCell ref="AG4:AG5"/>
    <mergeCell ref="AF4:AF5"/>
    <mergeCell ref="A140:B140"/>
    <mergeCell ref="A136:B136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2018-12-20T06:09:25Z</cp:lastPrinted>
  <dcterms:created xsi:type="dcterms:W3CDTF">2014-01-17T10:52:16Z</dcterms:created>
  <dcterms:modified xsi:type="dcterms:W3CDTF">2018-12-20T07:06:27Z</dcterms:modified>
  <cp:category/>
  <cp:version/>
  <cp:contentType/>
  <cp:contentStatus/>
</cp:coreProperties>
</file>